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Z_Sandra_Patino\T48\PMA Humedal de La Vaca_Jul 2023\2. Capitulo I. Descripcion\Anexos\Anexo A2.Modelo_hidraulico\"/>
    </mc:Choice>
  </mc:AlternateContent>
  <xr:revisionPtr revIDLastSave="0" documentId="13_ncr:1_{A15AB663-8833-4D3D-8D30-312865FC9587}" xr6:coauthVersionLast="47" xr6:coauthVersionMax="47" xr10:uidLastSave="{00000000-0000-0000-0000-000000000000}"/>
  <bookViews>
    <workbookView xWindow="1950" yWindow="1950" windowWidth="14805" windowHeight="12840" activeTab="3" xr2:uid="{615276AA-7BA3-4826-BF27-26C987BAAEB1}"/>
  </bookViews>
  <sheets>
    <sheet name="Hoja1" sheetId="1" r:id="rId1"/>
    <sheet name="C Vaca" sheetId="7" r:id="rId2"/>
    <sheet name="HC TC HV" sheetId="5" r:id="rId3"/>
    <sheet name="Resultados TC HV" sheetId="6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5" l="1"/>
  <c r="D3" i="6"/>
  <c r="C17" i="6"/>
  <c r="D17" i="6"/>
  <c r="E17" i="6"/>
  <c r="F17" i="6"/>
  <c r="G17" i="6"/>
  <c r="B17" i="6"/>
  <c r="O8" i="6"/>
  <c r="N8" i="6"/>
  <c r="J34" i="5"/>
  <c r="K9" i="5"/>
  <c r="Q9" i="5"/>
  <c r="W9" i="5"/>
  <c r="C8" i="6"/>
  <c r="M8" i="6"/>
  <c r="C3" i="6"/>
  <c r="M3" i="6"/>
  <c r="L8" i="6"/>
  <c r="K8" i="6"/>
  <c r="J8" i="6"/>
  <c r="I8" i="6"/>
  <c r="H8" i="6"/>
  <c r="G8" i="6"/>
  <c r="F8" i="6"/>
  <c r="E8" i="6"/>
  <c r="D8" i="6"/>
  <c r="B8" i="6"/>
  <c r="B3" i="6"/>
  <c r="L3" i="6"/>
  <c r="F13" i="5"/>
  <c r="H13" i="5"/>
  <c r="K13" i="5"/>
  <c r="Q13" i="5"/>
  <c r="W13" i="5"/>
  <c r="P13" i="5"/>
  <c r="V13" i="5"/>
  <c r="O13" i="5"/>
  <c r="U13" i="5"/>
  <c r="N13" i="5"/>
  <c r="T13" i="5"/>
  <c r="M13" i="5"/>
  <c r="S13" i="5"/>
  <c r="L13" i="5"/>
  <c r="R13" i="5"/>
  <c r="F6" i="7"/>
  <c r="E6" i="7"/>
  <c r="E5" i="7"/>
  <c r="E4" i="7"/>
  <c r="E3" i="7"/>
  <c r="D6" i="7"/>
  <c r="D5" i="7"/>
  <c r="D4" i="7"/>
  <c r="D3" i="7"/>
  <c r="J73" i="1"/>
  <c r="H73" i="1"/>
  <c r="I73" i="1"/>
  <c r="D73" i="1"/>
  <c r="C73" i="1"/>
  <c r="G73" i="1"/>
  <c r="G16" i="5"/>
  <c r="G19" i="5"/>
  <c r="G22" i="5"/>
  <c r="G25" i="5"/>
  <c r="G28" i="5"/>
  <c r="G31" i="5"/>
  <c r="G34" i="5"/>
  <c r="G37" i="5"/>
  <c r="F9" i="5"/>
  <c r="F16" i="5"/>
  <c r="F19" i="5"/>
  <c r="F22" i="5"/>
  <c r="F25" i="5"/>
  <c r="F28" i="5"/>
  <c r="F31" i="5"/>
  <c r="F34" i="5"/>
  <c r="F37" i="5"/>
  <c r="H37" i="5"/>
  <c r="K37" i="5"/>
  <c r="K3" i="6"/>
  <c r="H31" i="5"/>
  <c r="J31" i="5"/>
  <c r="K31" i="5"/>
  <c r="J3" i="6"/>
  <c r="C16" i="5"/>
  <c r="C19" i="5"/>
  <c r="C22" i="5"/>
  <c r="C25" i="5"/>
  <c r="C28" i="5"/>
  <c r="B28" i="5"/>
  <c r="H28" i="5"/>
  <c r="J28" i="5"/>
  <c r="K28" i="5"/>
  <c r="I3" i="6"/>
  <c r="J25" i="5"/>
  <c r="K25" i="5"/>
  <c r="H3" i="6"/>
  <c r="B22" i="5"/>
  <c r="H22" i="5"/>
  <c r="J22" i="5"/>
  <c r="K22" i="5"/>
  <c r="G3" i="6"/>
  <c r="B19" i="5"/>
  <c r="J19" i="5"/>
  <c r="K19" i="5"/>
  <c r="F3" i="6"/>
  <c r="H16" i="5"/>
  <c r="J16" i="5"/>
  <c r="K16" i="5"/>
  <c r="E3" i="6"/>
  <c r="H9" i="5"/>
  <c r="J9" i="5"/>
  <c r="D16" i="5"/>
  <c r="D19" i="5"/>
  <c r="D22" i="5"/>
  <c r="D25" i="5"/>
  <c r="D28" i="5"/>
  <c r="D31" i="5"/>
  <c r="D34" i="5"/>
  <c r="D37" i="5"/>
  <c r="E16" i="5"/>
  <c r="E19" i="5"/>
  <c r="E22" i="5"/>
  <c r="E25" i="5"/>
  <c r="E28" i="5"/>
  <c r="E31" i="5"/>
  <c r="E34" i="5"/>
  <c r="E37" i="5"/>
  <c r="C31" i="5"/>
  <c r="C34" i="5"/>
  <c r="C37" i="5"/>
  <c r="Q37" i="5"/>
  <c r="W37" i="5"/>
  <c r="P37" i="5"/>
  <c r="V37" i="5"/>
  <c r="O37" i="5"/>
  <c r="U37" i="5"/>
  <c r="N37" i="5"/>
  <c r="T37" i="5"/>
  <c r="M37" i="5"/>
  <c r="S37" i="5"/>
  <c r="L37" i="5"/>
  <c r="R37" i="5"/>
  <c r="B34" i="5"/>
  <c r="H34" i="5"/>
  <c r="K34" i="5"/>
  <c r="Q34" i="5"/>
  <c r="W34" i="5"/>
  <c r="P34" i="5"/>
  <c r="V34" i="5"/>
  <c r="O34" i="5"/>
  <c r="U34" i="5"/>
  <c r="N34" i="5"/>
  <c r="T34" i="5"/>
  <c r="M34" i="5"/>
  <c r="S34" i="5"/>
  <c r="L34" i="5"/>
  <c r="R34" i="5"/>
  <c r="Q31" i="5"/>
  <c r="W31" i="5"/>
  <c r="P31" i="5"/>
  <c r="V31" i="5"/>
  <c r="O31" i="5"/>
  <c r="U31" i="5"/>
  <c r="N31" i="5"/>
  <c r="T31" i="5"/>
  <c r="M31" i="5"/>
  <c r="S31" i="5"/>
  <c r="L31" i="5"/>
  <c r="R31" i="5"/>
  <c r="B31" i="5"/>
  <c r="Q28" i="5"/>
  <c r="W28" i="5"/>
  <c r="P28" i="5"/>
  <c r="V28" i="5"/>
  <c r="O28" i="5"/>
  <c r="U28" i="5"/>
  <c r="N28" i="5"/>
  <c r="T28" i="5"/>
  <c r="M28" i="5"/>
  <c r="S28" i="5"/>
  <c r="L28" i="5"/>
  <c r="R28" i="5"/>
  <c r="Q25" i="5"/>
  <c r="W25" i="5"/>
  <c r="P25" i="5"/>
  <c r="V25" i="5"/>
  <c r="O25" i="5"/>
  <c r="U25" i="5"/>
  <c r="N25" i="5"/>
  <c r="T25" i="5"/>
  <c r="M25" i="5"/>
  <c r="S25" i="5"/>
  <c r="L25" i="5"/>
  <c r="R25" i="5"/>
  <c r="H25" i="5"/>
  <c r="B25" i="5"/>
  <c r="Q22" i="5"/>
  <c r="W22" i="5"/>
  <c r="P22" i="5"/>
  <c r="V22" i="5"/>
  <c r="O22" i="5"/>
  <c r="U22" i="5"/>
  <c r="N22" i="5"/>
  <c r="T22" i="5"/>
  <c r="M22" i="5"/>
  <c r="S22" i="5"/>
  <c r="L22" i="5"/>
  <c r="R22" i="5"/>
  <c r="Q19" i="5"/>
  <c r="W19" i="5"/>
  <c r="P19" i="5"/>
  <c r="V19" i="5"/>
  <c r="O19" i="5"/>
  <c r="U19" i="5"/>
  <c r="N19" i="5"/>
  <c r="T19" i="5"/>
  <c r="M19" i="5"/>
  <c r="S19" i="5"/>
  <c r="L19" i="5"/>
  <c r="R19" i="5"/>
  <c r="H19" i="5"/>
  <c r="Q16" i="5"/>
  <c r="W16" i="5"/>
  <c r="P16" i="5"/>
  <c r="V16" i="5"/>
  <c r="O16" i="5"/>
  <c r="U16" i="5"/>
  <c r="N16" i="5"/>
  <c r="T16" i="5"/>
  <c r="M16" i="5"/>
  <c r="S16" i="5"/>
  <c r="L16" i="5"/>
  <c r="R16" i="5"/>
  <c r="P9" i="5"/>
  <c r="V9" i="5"/>
  <c r="O9" i="5"/>
  <c r="U9" i="5"/>
  <c r="N9" i="5"/>
  <c r="T9" i="5"/>
  <c r="M9" i="5"/>
  <c r="S9" i="5"/>
  <c r="L9" i="5"/>
  <c r="R9" i="5"/>
  <c r="F23" i="1"/>
  <c r="H23" i="1"/>
  <c r="F28" i="1"/>
  <c r="H28" i="1"/>
  <c r="I28" i="1"/>
  <c r="F27" i="1"/>
  <c r="H27" i="1"/>
  <c r="I27" i="1"/>
  <c r="F24" i="1"/>
  <c r="H24" i="1"/>
  <c r="F25" i="1"/>
  <c r="H25" i="1"/>
  <c r="F26" i="1"/>
  <c r="H26" i="1"/>
  <c r="I24" i="1"/>
  <c r="I26" i="1"/>
  <c r="I25" i="1"/>
  <c r="I23" i="1"/>
  <c r="H16" i="1"/>
  <c r="H13" i="1"/>
  <c r="H10" i="1"/>
  <c r="H7" i="1"/>
  <c r="H3" i="1"/>
</calcChain>
</file>

<file path=xl/sharedStrings.xml><?xml version="1.0" encoding="utf-8"?>
<sst xmlns="http://schemas.openxmlformats.org/spreadsheetml/2006/main" count="195" uniqueCount="78">
  <si>
    <t>l</t>
  </si>
  <si>
    <t>v</t>
  </si>
  <si>
    <t>Longitud del Cauce</t>
  </si>
  <si>
    <t>So</t>
  </si>
  <si>
    <t>Kirpich hr</t>
  </si>
  <si>
    <t>Kirpinch min</t>
  </si>
  <si>
    <t>TR</t>
  </si>
  <si>
    <t>C1</t>
  </si>
  <si>
    <t>X0</t>
  </si>
  <si>
    <t>C2</t>
  </si>
  <si>
    <t>Area</t>
  </si>
  <si>
    <t>Cota Inicial</t>
  </si>
  <si>
    <t>Cota Final</t>
  </si>
  <si>
    <t>Dif y</t>
  </si>
  <si>
    <t>Long</t>
  </si>
  <si>
    <t>S</t>
  </si>
  <si>
    <t>Kirpich</t>
  </si>
  <si>
    <t>Kirpich Horas</t>
  </si>
  <si>
    <t>Kirpich min</t>
  </si>
  <si>
    <t>C</t>
  </si>
  <si>
    <t>Intensidad</t>
  </si>
  <si>
    <t>e</t>
  </si>
  <si>
    <t>f</t>
  </si>
  <si>
    <t>g</t>
  </si>
  <si>
    <t>h</t>
  </si>
  <si>
    <t>i</t>
  </si>
  <si>
    <t>j</t>
  </si>
  <si>
    <t>Q</t>
  </si>
  <si>
    <t>Kerby</t>
  </si>
  <si>
    <t>Temez</t>
  </si>
  <si>
    <t>Temez Horas</t>
  </si>
  <si>
    <t>Pilgrim Horas</t>
  </si>
  <si>
    <t>Area Km2</t>
  </si>
  <si>
    <t>Clark Horas</t>
  </si>
  <si>
    <t>California Culvert Horas</t>
  </si>
  <si>
    <t>Clark</t>
  </si>
  <si>
    <t>Passini Horas</t>
  </si>
  <si>
    <t>California Culvert USBR Horas</t>
  </si>
  <si>
    <t>Giandotti</t>
  </si>
  <si>
    <t>Cuenca</t>
  </si>
  <si>
    <t>Pligrim</t>
  </si>
  <si>
    <t>California Culvert Practice</t>
  </si>
  <si>
    <t>Passini</t>
  </si>
  <si>
    <t>California Culvert USBR</t>
  </si>
  <si>
    <t>Colector CL 36S</t>
  </si>
  <si>
    <t>FAA Horas</t>
  </si>
  <si>
    <t>Long Km</t>
  </si>
  <si>
    <t>Longitud Pies</t>
  </si>
  <si>
    <t>Longitud m</t>
  </si>
  <si>
    <t>FAA min</t>
  </si>
  <si>
    <t>Pilgrim min</t>
  </si>
  <si>
    <t>California Culvert min</t>
  </si>
  <si>
    <t>Passini min</t>
  </si>
  <si>
    <t>California USBC min</t>
  </si>
  <si>
    <t>Giandotti min</t>
  </si>
  <si>
    <t>Asfalto</t>
  </si>
  <si>
    <t>Concreto / Techo</t>
  </si>
  <si>
    <t>Zonas Verdes</t>
  </si>
  <si>
    <t>FID</t>
  </si>
  <si>
    <t>Shape *</t>
  </si>
  <si>
    <t>Cobertura</t>
  </si>
  <si>
    <t>Categoria</t>
  </si>
  <si>
    <t>Polygon</t>
  </si>
  <si>
    <t>Tejido urbano continuo</t>
  </si>
  <si>
    <t>Concreto/Techo</t>
  </si>
  <si>
    <t>Tejido urbano discontinuo</t>
  </si>
  <si>
    <t>Zonas industriales o comerciales</t>
  </si>
  <si>
    <t>Pastos limpios</t>
  </si>
  <si>
    <t>Área verde</t>
  </si>
  <si>
    <t>Red vial, ferroviaria y terrenos asociados</t>
  </si>
  <si>
    <t>Coeficiente de escorrentía Vaca Norte</t>
  </si>
  <si>
    <t>Clark min</t>
  </si>
  <si>
    <t>FAA</t>
  </si>
  <si>
    <t>Tiempos de concentración</t>
  </si>
  <si>
    <t>Caudales</t>
  </si>
  <si>
    <t>Vaca Norte</t>
  </si>
  <si>
    <t>L/s</t>
  </si>
  <si>
    <t>m3/s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</si>
</sst>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3" borderId="0" xfId="0" applyFill="1"/>
    <xf numFmtId="0" fontId="0" fillId="0" borderId="3" xfId="0" applyBorder="1"/>
    <xf numFmtId="2" fontId="0" fillId="0" borderId="0" xfId="0" applyNumberFormat="1"/>
    <xf numFmtId="2" fontId="0" fillId="0" borderId="3" xfId="0" applyNumberFormat="1" applyBorder="1" applyAlignment="1">
      <alignment horizontal="center"/>
    </xf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21</xdr:row>
      <xdr:rowOff>0</xdr:rowOff>
    </xdr:from>
    <xdr:to>
      <xdr:col>25</xdr:col>
      <xdr:colOff>96433</xdr:colOff>
      <xdr:row>31</xdr:row>
      <xdr:rowOff>114582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DFD0B8-9CC8-4057-B785-0649E47C1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0" y="4000500"/>
          <a:ext cx="8478433" cy="201958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</xdr:row>
      <xdr:rowOff>0</xdr:rowOff>
    </xdr:from>
    <xdr:to>
      <xdr:col>20</xdr:col>
      <xdr:colOff>286960</xdr:colOff>
      <xdr:row>49</xdr:row>
      <xdr:rowOff>67136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BF45332-A71A-4CCC-9634-FE7780884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6096000"/>
          <a:ext cx="8668960" cy="3305636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50</xdr:row>
      <xdr:rowOff>0</xdr:rowOff>
    </xdr:from>
    <xdr:to>
      <xdr:col>21</xdr:col>
      <xdr:colOff>239434</xdr:colOff>
      <xdr:row>62</xdr:row>
      <xdr:rowOff>9845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E3EBC9D-BAE0-4B39-97A1-E74CF86CB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4000" y="9525000"/>
          <a:ext cx="9383434" cy="229584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12</xdr:col>
      <xdr:colOff>439381</xdr:colOff>
      <xdr:row>40</xdr:row>
      <xdr:rowOff>104949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E4B8A1-5C8E-433D-92AB-1AE1319C8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6477000"/>
          <a:ext cx="8821381" cy="124794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77</xdr:row>
      <xdr:rowOff>0</xdr:rowOff>
    </xdr:from>
    <xdr:to>
      <xdr:col>9</xdr:col>
      <xdr:colOff>319</xdr:colOff>
      <xdr:row>92</xdr:row>
      <xdr:rowOff>38504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722AF46-41BC-4FCC-A107-D7EA8C83E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72000" y="14668500"/>
          <a:ext cx="2286319" cy="28960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1</xdr:row>
      <xdr:rowOff>0</xdr:rowOff>
    </xdr:from>
    <xdr:to>
      <xdr:col>17</xdr:col>
      <xdr:colOff>635157</xdr:colOff>
      <xdr:row>4</xdr:row>
      <xdr:rowOff>38185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1A8651-F246-429F-8A1F-138C18C96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525" y="190500"/>
          <a:ext cx="5197632" cy="609685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10</xdr:row>
      <xdr:rowOff>0</xdr:rowOff>
    </xdr:from>
    <xdr:to>
      <xdr:col>41</xdr:col>
      <xdr:colOff>95250</xdr:colOff>
      <xdr:row>43</xdr:row>
      <xdr:rowOff>162429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2309CA-933A-4DEF-A496-4629B3BAAF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4167" r="17266"/>
        <a:stretch/>
      </xdr:blipFill>
      <xdr:spPr>
        <a:xfrm>
          <a:off x="20574000" y="3343275"/>
          <a:ext cx="10763250" cy="65632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1D8F-8D7F-429A-B694-136CBB736134}">
  <dimension ref="A3:J75"/>
  <sheetViews>
    <sheetView topLeftCell="A67" workbookViewId="0">
      <selection activeCell="I75" sqref="I75"/>
    </sheetView>
  </sheetViews>
  <sheetFormatPr baseColWidth="10" defaultRowHeight="15" x14ac:dyDescent="0.25"/>
  <sheetData>
    <row r="3" spans="3:8" x14ac:dyDescent="0.25">
      <c r="C3">
        <v>1</v>
      </c>
      <c r="E3" t="s">
        <v>0</v>
      </c>
      <c r="F3">
        <v>60.87</v>
      </c>
      <c r="H3">
        <f>C3*F3/(C4*F4)</f>
        <v>1.0908602150537634</v>
      </c>
    </row>
    <row r="4" spans="3:8" x14ac:dyDescent="0.25">
      <c r="C4">
        <v>60</v>
      </c>
      <c r="E4" t="s">
        <v>1</v>
      </c>
      <c r="F4">
        <v>0.93</v>
      </c>
    </row>
    <row r="7" spans="3:8" x14ac:dyDescent="0.25">
      <c r="C7">
        <v>1</v>
      </c>
      <c r="E7" t="s">
        <v>0</v>
      </c>
      <c r="F7">
        <v>100</v>
      </c>
      <c r="H7">
        <f>C7*F7/(C8*F8)</f>
        <v>2.2831050228310503</v>
      </c>
    </row>
    <row r="8" spans="3:8" x14ac:dyDescent="0.25">
      <c r="C8">
        <v>60</v>
      </c>
      <c r="E8" t="s">
        <v>1</v>
      </c>
      <c r="F8">
        <v>0.73</v>
      </c>
    </row>
    <row r="10" spans="3:8" x14ac:dyDescent="0.25">
      <c r="C10">
        <v>1</v>
      </c>
      <c r="E10" t="s">
        <v>0</v>
      </c>
      <c r="F10">
        <v>75.5</v>
      </c>
      <c r="H10">
        <f>C10*F10/(C11*F11)</f>
        <v>1.7976190476190477</v>
      </c>
    </row>
    <row r="11" spans="3:8" x14ac:dyDescent="0.25">
      <c r="C11">
        <v>60</v>
      </c>
      <c r="E11" t="s">
        <v>1</v>
      </c>
      <c r="F11">
        <v>0.7</v>
      </c>
    </row>
    <row r="13" spans="3:8" x14ac:dyDescent="0.25">
      <c r="C13">
        <v>1</v>
      </c>
      <c r="E13" t="s">
        <v>0</v>
      </c>
      <c r="F13">
        <v>141.4</v>
      </c>
      <c r="H13">
        <f>C13*F13/(C14*F14)</f>
        <v>3.8633879781420766</v>
      </c>
    </row>
    <row r="14" spans="3:8" x14ac:dyDescent="0.25">
      <c r="C14">
        <v>60</v>
      </c>
      <c r="E14" t="s">
        <v>1</v>
      </c>
      <c r="F14">
        <v>0.61</v>
      </c>
    </row>
    <row r="16" spans="3:8" x14ac:dyDescent="0.25">
      <c r="C16">
        <v>1</v>
      </c>
      <c r="E16" t="s">
        <v>0</v>
      </c>
      <c r="F16">
        <v>100</v>
      </c>
      <c r="H16">
        <f>C16*F16/(C17*F17)</f>
        <v>1.6025641025641024</v>
      </c>
    </row>
    <row r="17" spans="1:9" x14ac:dyDescent="0.25">
      <c r="C17">
        <v>60</v>
      </c>
      <c r="E17" t="s">
        <v>1</v>
      </c>
      <c r="F17">
        <v>1.04</v>
      </c>
    </row>
    <row r="22" spans="1:9" x14ac:dyDescent="0.25">
      <c r="B22" t="s">
        <v>2</v>
      </c>
      <c r="F22" t="s">
        <v>3</v>
      </c>
      <c r="H22" t="s">
        <v>4</v>
      </c>
      <c r="I22" t="s">
        <v>5</v>
      </c>
    </row>
    <row r="23" spans="1:9" x14ac:dyDescent="0.25">
      <c r="B23">
        <v>3234.79</v>
      </c>
      <c r="C23">
        <v>2554.12</v>
      </c>
      <c r="E23">
        <v>2540.3000000000002</v>
      </c>
      <c r="F23">
        <f t="shared" ref="F23:F28" si="0">(C23-E23)/B23</f>
        <v>4.2723020659763723E-3</v>
      </c>
      <c r="H23">
        <f>0.000325*((B23^0.77)/(F23^0.385))</f>
        <v>1.3386282947966242</v>
      </c>
      <c r="I23">
        <f>H23*60</f>
        <v>80.317697687797448</v>
      </c>
    </row>
    <row r="24" spans="1:9" x14ac:dyDescent="0.25">
      <c r="B24">
        <v>19.71</v>
      </c>
      <c r="C24">
        <v>2554.65</v>
      </c>
      <c r="E24">
        <v>2554.2800000000002</v>
      </c>
      <c r="F24">
        <f t="shared" si="0"/>
        <v>1.8772196854383097E-2</v>
      </c>
      <c r="H24">
        <f t="shared" ref="H24:H26" si="1">0.000325*((B24^0.77)/(F24^0.385))</f>
        <v>1.491038124990042E-2</v>
      </c>
      <c r="I24">
        <f>H24*60</f>
        <v>0.89462287499402526</v>
      </c>
    </row>
    <row r="25" spans="1:9" x14ac:dyDescent="0.25">
      <c r="B25">
        <v>1350</v>
      </c>
      <c r="C25">
        <v>965</v>
      </c>
      <c r="E25">
        <v>815.75</v>
      </c>
      <c r="F25">
        <f t="shared" si="0"/>
        <v>0.11055555555555556</v>
      </c>
      <c r="H25">
        <f t="shared" si="1"/>
        <v>0.19519192303474217</v>
      </c>
      <c r="I25">
        <f t="shared" ref="I25" si="2">H25*60</f>
        <v>11.71151538208453</v>
      </c>
    </row>
    <row r="26" spans="1:9" x14ac:dyDescent="0.25">
      <c r="B26">
        <v>868</v>
      </c>
      <c r="C26">
        <v>2558.08</v>
      </c>
      <c r="E26">
        <v>2543.9899999999998</v>
      </c>
      <c r="F26">
        <f t="shared" si="0"/>
        <v>1.6232718894009384E-2</v>
      </c>
      <c r="H26">
        <f t="shared" si="1"/>
        <v>0.29076552411108247</v>
      </c>
      <c r="I26">
        <f>H26*60</f>
        <v>17.44593144666495</v>
      </c>
    </row>
    <row r="27" spans="1:9" x14ac:dyDescent="0.25">
      <c r="B27">
        <v>845</v>
      </c>
      <c r="C27">
        <v>3008.75</v>
      </c>
      <c r="E27">
        <v>2564.31</v>
      </c>
      <c r="F27">
        <f t="shared" si="0"/>
        <v>0.52596449704142023</v>
      </c>
      <c r="H27">
        <f t="shared" ref="H27" si="3">0.000325*((B27^0.77)/(F27^0.385))</f>
        <v>7.4643982318952778E-2</v>
      </c>
      <c r="I27">
        <f>H27*60</f>
        <v>4.4786389391371664</v>
      </c>
    </row>
    <row r="28" spans="1:9" x14ac:dyDescent="0.25">
      <c r="A28">
        <v>1</v>
      </c>
      <c r="B28">
        <v>0.84499999999999997</v>
      </c>
      <c r="C28">
        <v>3008.75</v>
      </c>
      <c r="E28">
        <v>2564.31</v>
      </c>
      <c r="F28">
        <f t="shared" si="0"/>
        <v>525.96449704142015</v>
      </c>
      <c r="H28">
        <f>3.9756*A28*B28^0.77*F28^-0.385</f>
        <v>0.3129782243400504</v>
      </c>
      <c r="I28">
        <f>H28*60</f>
        <v>18.778693460403023</v>
      </c>
    </row>
    <row r="72" spans="2:10" x14ac:dyDescent="0.25">
      <c r="B72" t="s">
        <v>47</v>
      </c>
      <c r="C72" t="s">
        <v>48</v>
      </c>
      <c r="D72" t="s">
        <v>46</v>
      </c>
      <c r="E72" t="s">
        <v>19</v>
      </c>
      <c r="F72" t="s">
        <v>15</v>
      </c>
    </row>
    <row r="73" spans="2:10" x14ac:dyDescent="0.25">
      <c r="B73">
        <v>1448.4580000000001</v>
      </c>
      <c r="C73">
        <f>B73*0.3048</f>
        <v>441.48999840000005</v>
      </c>
      <c r="D73">
        <f>C73/1000</f>
        <v>0.44148999840000003</v>
      </c>
      <c r="E73">
        <v>0.48</v>
      </c>
      <c r="F73">
        <v>52.096310000000003</v>
      </c>
      <c r="G73">
        <f>F73/100</f>
        <v>0.52096310000000001</v>
      </c>
      <c r="H73">
        <f>(1.8*(1.1-E73)*B73^0.5)/F73^0.333</f>
        <v>11.387291266151303</v>
      </c>
      <c r="I73">
        <f>(0.3709*(1.1-E73)*D73^0.5)/G73^0.333</f>
        <v>0.18985071575603613</v>
      </c>
      <c r="J73">
        <f>I73*60</f>
        <v>11.391042945362168</v>
      </c>
    </row>
    <row r="75" spans="2:10" x14ac:dyDescent="0.25">
      <c r="H75">
        <v>11.387291266151303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6F7B9-F124-4043-B877-5652BC813A13}">
  <dimension ref="A1:F16"/>
  <sheetViews>
    <sheetView workbookViewId="0">
      <selection activeCell="F6" sqref="F6"/>
    </sheetView>
  </sheetViews>
  <sheetFormatPr baseColWidth="10" defaultRowHeight="15" x14ac:dyDescent="0.25"/>
  <sheetData>
    <row r="1" spans="1:6" x14ac:dyDescent="0.25">
      <c r="A1" t="s">
        <v>70</v>
      </c>
    </row>
    <row r="3" spans="1:6" x14ac:dyDescent="0.25">
      <c r="B3" t="s">
        <v>55</v>
      </c>
      <c r="C3">
        <v>0.81</v>
      </c>
      <c r="D3">
        <f>SUM(F14:F16)</f>
        <v>6.1492659999999999</v>
      </c>
      <c r="E3">
        <f>D3*C3</f>
        <v>4.9809054600000007</v>
      </c>
    </row>
    <row r="4" spans="1:6" x14ac:dyDescent="0.25">
      <c r="B4" t="s">
        <v>56</v>
      </c>
      <c r="C4">
        <v>0.83</v>
      </c>
      <c r="D4">
        <f>SUM(F10:F12)</f>
        <v>104.470962</v>
      </c>
      <c r="E4">
        <f>D4*C4</f>
        <v>86.710898459999996</v>
      </c>
    </row>
    <row r="5" spans="1:6" x14ac:dyDescent="0.25">
      <c r="B5" t="s">
        <v>57</v>
      </c>
      <c r="C5">
        <v>0.37</v>
      </c>
      <c r="D5">
        <f>F13</f>
        <v>0.253193</v>
      </c>
      <c r="E5">
        <f>D5*C5</f>
        <v>9.3681409999999993E-2</v>
      </c>
    </row>
    <row r="6" spans="1:6" x14ac:dyDescent="0.25">
      <c r="D6">
        <f>SUM(D3:D5)</f>
        <v>110.87342099999999</v>
      </c>
      <c r="E6">
        <f>SUM(E3:E5)</f>
        <v>91.78548533</v>
      </c>
      <c r="F6">
        <f>E6/D6</f>
        <v>0.82784029303109541</v>
      </c>
    </row>
    <row r="9" spans="1:6" x14ac:dyDescent="0.25">
      <c r="B9" t="s">
        <v>58</v>
      </c>
      <c r="C9" t="s">
        <v>59</v>
      </c>
      <c r="D9" t="s">
        <v>60</v>
      </c>
      <c r="E9" t="s">
        <v>61</v>
      </c>
      <c r="F9" t="s">
        <v>10</v>
      </c>
    </row>
    <row r="10" spans="1:6" x14ac:dyDescent="0.25">
      <c r="B10">
        <v>0</v>
      </c>
      <c r="C10" t="s">
        <v>62</v>
      </c>
      <c r="D10" t="s">
        <v>63</v>
      </c>
      <c r="E10" t="s">
        <v>64</v>
      </c>
      <c r="F10">
        <v>41.908852000000003</v>
      </c>
    </row>
    <row r="11" spans="1:6" x14ac:dyDescent="0.25">
      <c r="B11">
        <v>1</v>
      </c>
      <c r="C11" t="s">
        <v>62</v>
      </c>
      <c r="D11" t="s">
        <v>65</v>
      </c>
      <c r="E11" t="s">
        <v>64</v>
      </c>
      <c r="F11">
        <v>61.548532000000002</v>
      </c>
    </row>
    <row r="12" spans="1:6" x14ac:dyDescent="0.25">
      <c r="B12">
        <v>2</v>
      </c>
      <c r="C12" t="s">
        <v>62</v>
      </c>
      <c r="D12" t="s">
        <v>66</v>
      </c>
      <c r="E12" t="s">
        <v>64</v>
      </c>
      <c r="F12">
        <v>1.0135780000000001</v>
      </c>
    </row>
    <row r="13" spans="1:6" x14ac:dyDescent="0.25">
      <c r="B13">
        <v>3</v>
      </c>
      <c r="C13" t="s">
        <v>62</v>
      </c>
      <c r="D13" t="s">
        <v>67</v>
      </c>
      <c r="E13" t="s">
        <v>68</v>
      </c>
      <c r="F13">
        <v>0.253193</v>
      </c>
    </row>
    <row r="14" spans="1:6" x14ac:dyDescent="0.25">
      <c r="B14">
        <v>4</v>
      </c>
      <c r="C14" t="s">
        <v>62</v>
      </c>
      <c r="D14" t="s">
        <v>69</v>
      </c>
      <c r="E14" t="s">
        <v>55</v>
      </c>
      <c r="F14">
        <v>0.109402</v>
      </c>
    </row>
    <row r="15" spans="1:6" x14ac:dyDescent="0.25">
      <c r="B15">
        <v>5</v>
      </c>
      <c r="C15" t="s">
        <v>62</v>
      </c>
      <c r="D15" t="s">
        <v>69</v>
      </c>
      <c r="E15" t="s">
        <v>55</v>
      </c>
      <c r="F15">
        <v>1.7074069999999999</v>
      </c>
    </row>
    <row r="16" spans="1:6" x14ac:dyDescent="0.25">
      <c r="B16">
        <v>6</v>
      </c>
      <c r="C16" t="s">
        <v>62</v>
      </c>
      <c r="D16" t="s">
        <v>69</v>
      </c>
      <c r="E16" t="s">
        <v>55</v>
      </c>
      <c r="F16">
        <v>4.3324569999999998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99725-DF98-4567-B9F9-8B21A9E508C1}">
  <dimension ref="A2:W48"/>
  <sheetViews>
    <sheetView topLeftCell="A7" zoomScale="85" zoomScaleNormal="85" workbookViewId="0">
      <selection activeCell="H27" sqref="H27"/>
    </sheetView>
  </sheetViews>
  <sheetFormatPr baseColWidth="10" defaultRowHeight="15" x14ac:dyDescent="0.25"/>
  <sheetData>
    <row r="2" spans="1:23" x14ac:dyDescent="0.25">
      <c r="D2" s="1" t="s">
        <v>6</v>
      </c>
      <c r="E2">
        <v>3</v>
      </c>
      <c r="F2">
        <v>5</v>
      </c>
      <c r="G2">
        <v>10</v>
      </c>
      <c r="H2">
        <v>25</v>
      </c>
      <c r="I2">
        <v>50</v>
      </c>
      <c r="J2">
        <v>100</v>
      </c>
      <c r="M2" s="1"/>
      <c r="N2" s="1"/>
      <c r="O2" s="1"/>
    </row>
    <row r="3" spans="1:23" x14ac:dyDescent="0.25">
      <c r="D3" s="1" t="s">
        <v>7</v>
      </c>
      <c r="E3" s="1">
        <v>2119.04</v>
      </c>
      <c r="F3" s="1">
        <v>2533.75</v>
      </c>
      <c r="G3" s="1">
        <v>3047.25</v>
      </c>
      <c r="H3" s="1">
        <v>3867.2</v>
      </c>
      <c r="I3" s="1">
        <v>4319.76</v>
      </c>
      <c r="J3" s="1">
        <v>5117.97</v>
      </c>
      <c r="M3" s="1"/>
      <c r="N3" s="1"/>
      <c r="O3" s="1"/>
    </row>
    <row r="4" spans="1:23" x14ac:dyDescent="0.25">
      <c r="D4" s="1" t="s">
        <v>8</v>
      </c>
      <c r="E4" s="1">
        <v>21</v>
      </c>
      <c r="F4" s="1">
        <v>20.399999999999999</v>
      </c>
      <c r="G4" s="1">
        <v>20</v>
      </c>
      <c r="H4" s="1">
        <v>19.899999999999999</v>
      </c>
      <c r="I4" s="1">
        <v>19.8</v>
      </c>
      <c r="J4" s="1">
        <v>20.2</v>
      </c>
      <c r="M4" s="1"/>
      <c r="N4" s="1"/>
      <c r="O4" s="1"/>
    </row>
    <row r="5" spans="1:23" x14ac:dyDescent="0.25">
      <c r="D5" s="1" t="s">
        <v>9</v>
      </c>
      <c r="E5" s="1">
        <v>-1.0216499999999999</v>
      </c>
      <c r="F5" s="1">
        <v>-1.02945</v>
      </c>
      <c r="G5" s="1">
        <v>-1.0356000000000001</v>
      </c>
      <c r="H5" s="1">
        <v>-1.04914</v>
      </c>
      <c r="I5" s="1">
        <v>-1.0489299999999999</v>
      </c>
      <c r="J5" s="1">
        <v>-1.06365</v>
      </c>
      <c r="L5" t="s">
        <v>21</v>
      </c>
      <c r="M5" s="1" t="s">
        <v>22</v>
      </c>
      <c r="N5" s="1" t="s">
        <v>23</v>
      </c>
      <c r="O5" s="1" t="s">
        <v>24</v>
      </c>
      <c r="P5" s="1" t="s">
        <v>25</v>
      </c>
      <c r="Q5" s="1" t="s">
        <v>26</v>
      </c>
    </row>
    <row r="6" spans="1:23" x14ac:dyDescent="0.25">
      <c r="D6" s="1"/>
      <c r="E6" s="1"/>
      <c r="F6" s="1"/>
      <c r="G6" s="1"/>
      <c r="H6" s="1"/>
      <c r="I6" s="1"/>
      <c r="J6" s="1"/>
      <c r="M6" s="1"/>
      <c r="N6" s="1"/>
      <c r="O6" s="1"/>
      <c r="P6" s="1"/>
      <c r="Q6" s="1"/>
    </row>
    <row r="7" spans="1:23" x14ac:dyDescent="0.25">
      <c r="D7" s="1"/>
      <c r="L7" t="s">
        <v>20</v>
      </c>
      <c r="M7" s="1"/>
      <c r="N7" s="1"/>
      <c r="O7" s="1"/>
      <c r="R7" t="s">
        <v>27</v>
      </c>
    </row>
    <row r="8" spans="1:23" ht="15.75" thickBot="1" x14ac:dyDescent="0.3">
      <c r="C8" s="4" t="s">
        <v>10</v>
      </c>
      <c r="D8" s="1" t="s">
        <v>11</v>
      </c>
      <c r="E8" t="s">
        <v>12</v>
      </c>
      <c r="F8" t="s">
        <v>13</v>
      </c>
      <c r="G8" t="s">
        <v>14</v>
      </c>
      <c r="H8" t="s">
        <v>15</v>
      </c>
      <c r="I8" s="4" t="s">
        <v>19</v>
      </c>
      <c r="J8" s="6" t="s">
        <v>17</v>
      </c>
      <c r="K8" t="s">
        <v>18</v>
      </c>
      <c r="L8" s="4">
        <v>3</v>
      </c>
      <c r="M8" s="4">
        <v>5</v>
      </c>
      <c r="N8" s="4">
        <v>10</v>
      </c>
      <c r="O8" s="4">
        <v>25</v>
      </c>
      <c r="P8" s="4">
        <v>50</v>
      </c>
      <c r="Q8" s="4">
        <v>100</v>
      </c>
      <c r="R8">
        <v>3</v>
      </c>
      <c r="S8">
        <v>5</v>
      </c>
      <c r="T8">
        <v>10</v>
      </c>
      <c r="U8">
        <v>25</v>
      </c>
      <c r="V8">
        <v>50</v>
      </c>
      <c r="W8">
        <v>100</v>
      </c>
    </row>
    <row r="9" spans="1:23" x14ac:dyDescent="0.25">
      <c r="A9" s="2" t="s">
        <v>44</v>
      </c>
      <c r="C9" s="4">
        <v>110.7</v>
      </c>
      <c r="D9" s="1">
        <v>2554.9699999999998</v>
      </c>
      <c r="E9" s="1">
        <v>2549.23</v>
      </c>
      <c r="F9">
        <f>D9-E9</f>
        <v>5.7399999999997817</v>
      </c>
      <c r="G9" s="1">
        <v>2756</v>
      </c>
      <c r="H9">
        <f>F9/G9</f>
        <v>2.0827285921624751E-3</v>
      </c>
      <c r="I9" s="5">
        <v>0.83</v>
      </c>
      <c r="J9">
        <f>0.000325*((G9^0.77)/(H9^0.385))</f>
        <v>1.5603598745985803</v>
      </c>
      <c r="K9">
        <f>J9*60</f>
        <v>93.621592475914809</v>
      </c>
      <c r="L9" s="4">
        <f>$E$3*(K9+$E$4)^$E$5</f>
        <v>16.683593453347132</v>
      </c>
      <c r="M9" s="5">
        <f>$F$3*(K9+$F$4)^$F$5</f>
        <v>19.32851057592455</v>
      </c>
      <c r="N9" s="5">
        <f>$G$3*(K9+$G$4)^$G$5</f>
        <v>22.660673153895271</v>
      </c>
      <c r="O9" s="5">
        <f>$H$3*(K9+$H$4)^$H$5</f>
        <v>26.998000562729498</v>
      </c>
      <c r="P9" s="4">
        <f>$I$3*(K9+$I$4)^$I$5</f>
        <v>30.215349038888213</v>
      </c>
      <c r="Q9" s="4">
        <f>$J$3*(K9+$J$4)^$J$5</f>
        <v>33.265524767555178</v>
      </c>
      <c r="R9">
        <f t="shared" ref="R9:W9" si="0">$I$9*L9*$C$9*10/3.6</f>
        <v>4258.0701391305211</v>
      </c>
      <c r="S9">
        <f t="shared" si="0"/>
        <v>4933.1191117403441</v>
      </c>
      <c r="T9">
        <f t="shared" si="0"/>
        <v>5783.5703057029195</v>
      </c>
      <c r="U9">
        <f t="shared" si="0"/>
        <v>6890.5646936226367</v>
      </c>
      <c r="V9">
        <f t="shared" si="0"/>
        <v>7711.7124584502435</v>
      </c>
      <c r="W9">
        <f t="shared" si="0"/>
        <v>8490.1935587992702</v>
      </c>
    </row>
    <row r="10" spans="1:23" x14ac:dyDescent="0.25">
      <c r="A10" s="3"/>
      <c r="C10" s="4"/>
      <c r="D10" s="1"/>
      <c r="E10" s="1"/>
      <c r="G10" s="1"/>
      <c r="I10" s="5"/>
      <c r="L10" s="4"/>
      <c r="M10" s="5"/>
      <c r="N10" s="5"/>
      <c r="O10" s="5"/>
      <c r="P10" s="4"/>
      <c r="Q10" s="4"/>
    </row>
    <row r="12" spans="1:23" ht="15.75" thickBot="1" x14ac:dyDescent="0.3">
      <c r="C12" s="4" t="s">
        <v>10</v>
      </c>
      <c r="D12" s="1" t="s">
        <v>11</v>
      </c>
      <c r="E12" t="s">
        <v>12</v>
      </c>
      <c r="F12" t="s">
        <v>13</v>
      </c>
      <c r="G12" t="s">
        <v>14</v>
      </c>
      <c r="H12" t="s">
        <v>15</v>
      </c>
      <c r="I12" s="4" t="s">
        <v>19</v>
      </c>
      <c r="J12" s="6" t="s">
        <v>45</v>
      </c>
      <c r="K12" t="s">
        <v>49</v>
      </c>
      <c r="L12" s="4">
        <v>3</v>
      </c>
      <c r="M12" s="4">
        <v>5</v>
      </c>
      <c r="N12" s="4">
        <v>10</v>
      </c>
      <c r="O12" s="4">
        <v>25</v>
      </c>
      <c r="P12" s="4">
        <v>50</v>
      </c>
      <c r="Q12" s="4">
        <v>100</v>
      </c>
      <c r="R12">
        <v>3</v>
      </c>
      <c r="S12">
        <v>5</v>
      </c>
      <c r="T12">
        <v>10</v>
      </c>
      <c r="U12">
        <v>25</v>
      </c>
      <c r="V12">
        <v>50</v>
      </c>
      <c r="W12">
        <v>100</v>
      </c>
    </row>
    <row r="13" spans="1:23" x14ac:dyDescent="0.25">
      <c r="A13" s="2" t="s">
        <v>44</v>
      </c>
      <c r="C13" s="4">
        <v>110.7</v>
      </c>
      <c r="D13" s="1">
        <v>2554.9699999999998</v>
      </c>
      <c r="E13" s="1">
        <v>2549.23</v>
      </c>
      <c r="F13">
        <f>D13-E13</f>
        <v>5.7399999999997817</v>
      </c>
      <c r="G13" s="1">
        <v>2756</v>
      </c>
      <c r="H13">
        <f>F13/G13</f>
        <v>2.0827285921624751E-3</v>
      </c>
      <c r="I13" s="5">
        <v>0.83</v>
      </c>
      <c r="J13">
        <f>(0.3709*(1.1-I13)*(G13/1000)^0.5)/H13^0.333</f>
        <v>1.299138705372068</v>
      </c>
      <c r="K13">
        <f>J13*60</f>
        <v>77.948322322324074</v>
      </c>
      <c r="L13" s="4">
        <f>$E$3*(K13+$E$4)^$E$5</f>
        <v>19.387871249717069</v>
      </c>
      <c r="M13" s="5">
        <f>$F$3*(K13+$F$4)^$F$5</f>
        <v>22.506596189822247</v>
      </c>
      <c r="N13" s="5">
        <f>$G$3*(K13+$G$4)^$G$5</f>
        <v>26.426009741070622</v>
      </c>
      <c r="O13" s="5">
        <f>$H$3*(K13+$H$4)^$H$5</f>
        <v>31.552040884279446</v>
      </c>
      <c r="P13" s="4">
        <f>$I$3*(K13+$I$4)^$I$5</f>
        <v>35.316223596697412</v>
      </c>
      <c r="Q13" s="4">
        <f>$J$3*(K13+$J$4)^$J$5</f>
        <v>38.943188790447032</v>
      </c>
      <c r="R13">
        <f t="shared" ref="R13" si="1">$I$9*L13*$C$9*10/3.6</f>
        <v>4948.2694397090381</v>
      </c>
      <c r="S13">
        <f t="shared" ref="S13" si="2">$I$9*M13*$C$9*10/3.6</f>
        <v>5744.2460125473817</v>
      </c>
      <c r="T13">
        <f t="shared" ref="T13" si="3">$I$9*N13*$C$9*10/3.6</f>
        <v>6744.57833616475</v>
      </c>
      <c r="U13">
        <f t="shared" ref="U13" si="4">$I$9*O13*$C$9*10/3.6</f>
        <v>8052.8696346902216</v>
      </c>
      <c r="V13">
        <f t="shared" ref="V13" si="5">$I$9*P13*$C$9*10/3.6</f>
        <v>9013.5831674670972</v>
      </c>
      <c r="W13">
        <f t="shared" ref="W13" si="6">$I$9*Q13*$C$9*10/3.6</f>
        <v>9939.2753590418415</v>
      </c>
    </row>
    <row r="15" spans="1:23" ht="15.75" thickBot="1" x14ac:dyDescent="0.3">
      <c r="C15" s="4" t="s">
        <v>10</v>
      </c>
      <c r="D15" s="1" t="s">
        <v>11</v>
      </c>
      <c r="E15" t="s">
        <v>12</v>
      </c>
      <c r="F15" t="s">
        <v>13</v>
      </c>
      <c r="G15" t="s">
        <v>14</v>
      </c>
      <c r="H15" t="s">
        <v>15</v>
      </c>
      <c r="I15" s="4" t="s">
        <v>19</v>
      </c>
      <c r="J15" s="6" t="s">
        <v>30</v>
      </c>
      <c r="K15" t="s">
        <v>29</v>
      </c>
      <c r="L15" s="4">
        <v>3</v>
      </c>
      <c r="M15" s="4">
        <v>5</v>
      </c>
      <c r="N15" s="4">
        <v>10</v>
      </c>
      <c r="O15" s="4">
        <v>25</v>
      </c>
      <c r="P15" s="4">
        <v>50</v>
      </c>
      <c r="Q15" s="4">
        <v>100</v>
      </c>
      <c r="R15">
        <v>3</v>
      </c>
      <c r="S15">
        <v>5</v>
      </c>
      <c r="T15">
        <v>10</v>
      </c>
      <c r="U15">
        <v>25</v>
      </c>
      <c r="V15">
        <v>50</v>
      </c>
      <c r="W15">
        <v>100</v>
      </c>
    </row>
    <row r="16" spans="1:23" x14ac:dyDescent="0.25">
      <c r="A16" s="2" t="s">
        <v>44</v>
      </c>
      <c r="C16" s="4">
        <f>C9</f>
        <v>110.7</v>
      </c>
      <c r="D16" s="4">
        <f t="shared" ref="D16:G16" si="7">D9</f>
        <v>2554.9699999999998</v>
      </c>
      <c r="E16" s="4">
        <f t="shared" si="7"/>
        <v>2549.23</v>
      </c>
      <c r="F16" s="4">
        <f t="shared" si="7"/>
        <v>5.7399999999997817</v>
      </c>
      <c r="G16" s="4">
        <f t="shared" si="7"/>
        <v>2756</v>
      </c>
      <c r="H16">
        <f>F16/G16</f>
        <v>2.0827285921624751E-3</v>
      </c>
      <c r="I16" s="5">
        <v>0.83</v>
      </c>
      <c r="J16">
        <f>0.3*((G16/1000)/(H16*100)^0.25)^0.75</f>
        <v>0.86116632192084375</v>
      </c>
      <c r="K16">
        <f>J16*60</f>
        <v>51.669979315250622</v>
      </c>
      <c r="L16" s="4">
        <f>$E$3*(K16+$E$4)^$E$5</f>
        <v>26.575765416412846</v>
      </c>
      <c r="M16" s="5">
        <f>$F$3*(K16+$F$4)^$F$5</f>
        <v>30.995489349743202</v>
      </c>
      <c r="N16" s="5">
        <f>$G$3*(K16+$G$4)^$G$5</f>
        <v>36.519161678002213</v>
      </c>
      <c r="O16" s="5">
        <f>$H$3*(K16+$H$4)^$H$5</f>
        <v>43.805058570049368</v>
      </c>
      <c r="P16" s="4">
        <f>$I$3*(K16+$I$4)^$I$5</f>
        <v>49.047140401667924</v>
      </c>
      <c r="Q16" s="4">
        <f>$J$3*(K16+$J$4)^$J$5</f>
        <v>54.247654621121541</v>
      </c>
      <c r="R16">
        <f t="shared" ref="R16:W16" si="8">$I$9*L16*$C$9*10/3.6</f>
        <v>6782.7997284039684</v>
      </c>
      <c r="S16">
        <f t="shared" si="8"/>
        <v>7910.8237692882085</v>
      </c>
      <c r="T16">
        <f t="shared" si="8"/>
        <v>9320.603039268115</v>
      </c>
      <c r="U16">
        <f t="shared" si="8"/>
        <v>11180.146073540849</v>
      </c>
      <c r="V16">
        <f t="shared" si="8"/>
        <v>12518.056409015699</v>
      </c>
      <c r="W16">
        <f t="shared" si="8"/>
        <v>13845.357650675744</v>
      </c>
    </row>
    <row r="18" spans="1:23" ht="15.75" thickBot="1" x14ac:dyDescent="0.3">
      <c r="B18" t="s">
        <v>32</v>
      </c>
      <c r="C18" s="4" t="s">
        <v>10</v>
      </c>
      <c r="D18" s="1" t="s">
        <v>11</v>
      </c>
      <c r="E18" t="s">
        <v>12</v>
      </c>
      <c r="F18" t="s">
        <v>13</v>
      </c>
      <c r="G18" t="s">
        <v>14</v>
      </c>
      <c r="H18" t="s">
        <v>15</v>
      </c>
      <c r="I18" s="4" t="s">
        <v>19</v>
      </c>
      <c r="J18" t="s">
        <v>31</v>
      </c>
      <c r="K18" t="s">
        <v>50</v>
      </c>
      <c r="L18" s="4">
        <v>3</v>
      </c>
      <c r="M18" s="4">
        <v>5</v>
      </c>
      <c r="N18" s="4">
        <v>10</v>
      </c>
      <c r="O18" s="4">
        <v>25</v>
      </c>
      <c r="P18" s="4">
        <v>50</v>
      </c>
      <c r="Q18" s="4">
        <v>100</v>
      </c>
      <c r="R18">
        <v>3</v>
      </c>
      <c r="S18">
        <v>5</v>
      </c>
      <c r="T18">
        <v>10</v>
      </c>
      <c r="U18">
        <v>25</v>
      </c>
      <c r="V18">
        <v>50</v>
      </c>
      <c r="W18">
        <v>100</v>
      </c>
    </row>
    <row r="19" spans="1:23" x14ac:dyDescent="0.25">
      <c r="A19" s="2" t="s">
        <v>44</v>
      </c>
      <c r="B19">
        <f>C19*0.01</f>
        <v>1.107</v>
      </c>
      <c r="C19" s="4">
        <f>C16</f>
        <v>110.7</v>
      </c>
      <c r="D19" s="4">
        <f t="shared" ref="D19:G19" si="9">D16</f>
        <v>2554.9699999999998</v>
      </c>
      <c r="E19" s="4">
        <f t="shared" si="9"/>
        <v>2549.23</v>
      </c>
      <c r="F19" s="4">
        <f t="shared" si="9"/>
        <v>5.7399999999997817</v>
      </c>
      <c r="G19" s="4">
        <f t="shared" si="9"/>
        <v>2756</v>
      </c>
      <c r="H19">
        <f>F19/G19</f>
        <v>2.0827285921624751E-3</v>
      </c>
      <c r="I19" s="5">
        <v>0.83</v>
      </c>
      <c r="J19">
        <f>0.76*B19^0.385</f>
        <v>0.79033356455943859</v>
      </c>
      <c r="K19">
        <f>J19*60</f>
        <v>47.420013873566319</v>
      </c>
      <c r="L19" s="4">
        <f>$E$3*(K19+$E$4)^$E$5</f>
        <v>28.263391963523496</v>
      </c>
      <c r="M19" s="5">
        <f>$F$3*(K19+$F$4)^$F$5</f>
        <v>32.996843580103572</v>
      </c>
      <c r="N19" s="5">
        <f>$G$3*(K19+$G$4)^$G$5</f>
        <v>38.905801400216866</v>
      </c>
      <c r="O19" s="5">
        <f>$H$3*(K19+$H$4)^$H$5</f>
        <v>46.710813451142542</v>
      </c>
      <c r="P19" s="4">
        <f>$I$3*(K19+$I$4)^$I$5</f>
        <v>52.304796231757024</v>
      </c>
      <c r="Q19" s="4">
        <f>$J$3*(K19+$J$4)^$J$5</f>
        <v>57.881288485036741</v>
      </c>
      <c r="R19">
        <f t="shared" ref="R19:W19" si="10">$I$9*L19*$C$9*10/3.6</f>
        <v>7213.524213890285</v>
      </c>
      <c r="S19">
        <f t="shared" si="10"/>
        <v>8421.6194027319343</v>
      </c>
      <c r="T19">
        <f t="shared" si="10"/>
        <v>9929.7331623703521</v>
      </c>
      <c r="U19">
        <f t="shared" si="10"/>
        <v>11921.767363067855</v>
      </c>
      <c r="V19">
        <f t="shared" si="10"/>
        <v>13349.491618250186</v>
      </c>
      <c r="W19">
        <f t="shared" si="10"/>
        <v>14772.7518535935</v>
      </c>
    </row>
    <row r="21" spans="1:23" ht="15.75" thickBot="1" x14ac:dyDescent="0.3">
      <c r="B21" t="s">
        <v>32</v>
      </c>
      <c r="C21" s="4" t="s">
        <v>10</v>
      </c>
      <c r="D21" s="1" t="s">
        <v>11</v>
      </c>
      <c r="E21" t="s">
        <v>12</v>
      </c>
      <c r="F21" t="s">
        <v>13</v>
      </c>
      <c r="G21" t="s">
        <v>14</v>
      </c>
      <c r="H21" t="s">
        <v>15</v>
      </c>
      <c r="I21" s="4" t="s">
        <v>19</v>
      </c>
      <c r="J21" t="s">
        <v>33</v>
      </c>
      <c r="K21" t="s">
        <v>71</v>
      </c>
      <c r="L21" s="4">
        <v>3</v>
      </c>
      <c r="M21" s="4">
        <v>5</v>
      </c>
      <c r="N21" s="4">
        <v>10</v>
      </c>
      <c r="O21" s="4">
        <v>25</v>
      </c>
      <c r="P21" s="4">
        <v>50</v>
      </c>
      <c r="Q21" s="4">
        <v>100</v>
      </c>
      <c r="R21">
        <v>3</v>
      </c>
      <c r="S21">
        <v>5</v>
      </c>
      <c r="T21">
        <v>10</v>
      </c>
      <c r="U21">
        <v>25</v>
      </c>
      <c r="V21">
        <v>50</v>
      </c>
      <c r="W21">
        <v>100</v>
      </c>
    </row>
    <row r="22" spans="1:23" x14ac:dyDescent="0.25">
      <c r="A22" s="2" t="s">
        <v>44</v>
      </c>
      <c r="B22">
        <f>C22*0.01</f>
        <v>1.107</v>
      </c>
      <c r="C22" s="4">
        <f>C19</f>
        <v>110.7</v>
      </c>
      <c r="D22" s="4">
        <f t="shared" ref="D22:G22" si="11">D19</f>
        <v>2554.9699999999998</v>
      </c>
      <c r="E22" s="4">
        <f t="shared" si="11"/>
        <v>2549.23</v>
      </c>
      <c r="F22" s="4">
        <f t="shared" si="11"/>
        <v>5.7399999999997817</v>
      </c>
      <c r="G22" s="4">
        <f t="shared" si="11"/>
        <v>2756</v>
      </c>
      <c r="H22">
        <f>F22/G22</f>
        <v>2.0827285921624751E-3</v>
      </c>
      <c r="I22" s="5">
        <v>0.83</v>
      </c>
      <c r="J22">
        <f>0.335*(B22/(H22)^0.5)^0.593</f>
        <v>2.2194724412502174</v>
      </c>
      <c r="K22">
        <f>J22*60</f>
        <v>133.16834647501304</v>
      </c>
      <c r="L22" s="4">
        <f>$E$3*(K22+$E$4)^$E$5</f>
        <v>12.324628689138571</v>
      </c>
      <c r="M22" s="5">
        <f>$F$3*(K22+$F$4)^$F$5</f>
        <v>14.225759697955123</v>
      </c>
      <c r="N22" s="5">
        <f>$G$3*(K22+$G$4)^$G$5</f>
        <v>16.632098352604807</v>
      </c>
      <c r="O22" s="5">
        <f>$H$3*(K22+$H$4)^$H$5</f>
        <v>19.730858144323904</v>
      </c>
      <c r="P22" s="4">
        <f>$I$3*(K22+$I$4)^$I$5</f>
        <v>22.078292950813779</v>
      </c>
      <c r="Q22" s="4">
        <f>$J$3*(K22+$J$4)^$J$5</f>
        <v>24.223668859612463</v>
      </c>
      <c r="R22">
        <f t="shared" ref="R22:W22" si="12">$I$9*L22*$C$9*10/3.6</f>
        <v>3145.5533571853916</v>
      </c>
      <c r="S22">
        <f t="shared" si="12"/>
        <v>3630.7695189105953</v>
      </c>
      <c r="T22">
        <f t="shared" si="12"/>
        <v>4244.9273020435612</v>
      </c>
      <c r="U22">
        <f t="shared" si="12"/>
        <v>5035.8082698850676</v>
      </c>
      <c r="V22">
        <f t="shared" si="12"/>
        <v>5634.9323183714469</v>
      </c>
      <c r="W22">
        <f t="shared" si="12"/>
        <v>6182.4858846945908</v>
      </c>
    </row>
    <row r="24" spans="1:23" ht="15.75" thickBot="1" x14ac:dyDescent="0.3">
      <c r="B24" t="s">
        <v>32</v>
      </c>
      <c r="C24" s="4" t="s">
        <v>10</v>
      </c>
      <c r="D24" s="1" t="s">
        <v>11</v>
      </c>
      <c r="E24" t="s">
        <v>12</v>
      </c>
      <c r="F24" t="s">
        <v>13</v>
      </c>
      <c r="G24" t="s">
        <v>14</v>
      </c>
      <c r="H24" t="s">
        <v>15</v>
      </c>
      <c r="I24" s="4" t="s">
        <v>19</v>
      </c>
      <c r="J24" t="s">
        <v>34</v>
      </c>
      <c r="K24" t="s">
        <v>51</v>
      </c>
      <c r="L24" s="4">
        <v>3</v>
      </c>
      <c r="M24" s="4">
        <v>5</v>
      </c>
      <c r="N24" s="4">
        <v>10</v>
      </c>
      <c r="O24" s="4">
        <v>25</v>
      </c>
      <c r="P24" s="4">
        <v>50</v>
      </c>
      <c r="Q24" s="4">
        <v>100</v>
      </c>
      <c r="R24">
        <v>3</v>
      </c>
      <c r="S24">
        <v>5</v>
      </c>
      <c r="T24">
        <v>10</v>
      </c>
      <c r="U24">
        <v>25</v>
      </c>
      <c r="V24">
        <v>50</v>
      </c>
      <c r="W24">
        <v>100</v>
      </c>
    </row>
    <row r="25" spans="1:23" x14ac:dyDescent="0.25">
      <c r="A25" s="2" t="s">
        <v>44</v>
      </c>
      <c r="B25">
        <f>C25*0.01</f>
        <v>1.107</v>
      </c>
      <c r="C25" s="4">
        <f>C22</f>
        <v>110.7</v>
      </c>
      <c r="D25" s="4">
        <f t="shared" ref="D25:G25" si="13">D22</f>
        <v>2554.9699999999998</v>
      </c>
      <c r="E25" s="4">
        <f t="shared" si="13"/>
        <v>2549.23</v>
      </c>
      <c r="F25" s="4">
        <f t="shared" si="13"/>
        <v>5.7399999999997817</v>
      </c>
      <c r="G25" s="4">
        <f t="shared" si="13"/>
        <v>2756</v>
      </c>
      <c r="H25">
        <f>F25/G25</f>
        <v>2.0827285921624751E-3</v>
      </c>
      <c r="I25" s="5">
        <v>0.83</v>
      </c>
      <c r="J25">
        <f>0.87075*(G25/1000)^3/(F25)^3.85</f>
        <v>2.1823295691158481E-2</v>
      </c>
      <c r="K25">
        <f>J25*60</f>
        <v>1.3093977414695088</v>
      </c>
      <c r="L25" s="4">
        <f>$E$3*(K25+$E$4)^$E$5</f>
        <v>88.80891138158259</v>
      </c>
      <c r="M25" s="5">
        <f>$F$3*(K25+$F$4)^$F$5</f>
        <v>106.59865111394767</v>
      </c>
      <c r="N25" s="5">
        <f>$G$3*(K25+$G$4)^$G$5</f>
        <v>128.24480344168913</v>
      </c>
      <c r="O25" s="5">
        <f>$H$3*(K25+$H$4)^$H$5</f>
        <v>156.92158787608321</v>
      </c>
      <c r="P25" s="4">
        <f>$I$3*(K25+$I$4)^$I$5</f>
        <v>176.26950006563422</v>
      </c>
      <c r="Q25" s="4">
        <f>$J$3*(K25+$J$4)^$J$5</f>
        <v>195.72562894954979</v>
      </c>
      <c r="R25">
        <f t="shared" ref="R25:W25" si="14">$I$9*L25*$C$9*10/3.6</f>
        <v>22666.254407364413</v>
      </c>
      <c r="S25">
        <f t="shared" si="14"/>
        <v>27206.640730557294</v>
      </c>
      <c r="T25">
        <f t="shared" si="14"/>
        <v>32731.279958405106</v>
      </c>
      <c r="U25">
        <f t="shared" si="14"/>
        <v>40050.312265673339</v>
      </c>
      <c r="V25">
        <f t="shared" si="14"/>
        <v>44988.383154251496</v>
      </c>
      <c r="W25">
        <f t="shared" si="14"/>
        <v>49954.073648648846</v>
      </c>
    </row>
    <row r="27" spans="1:23" ht="15.75" thickBot="1" x14ac:dyDescent="0.3">
      <c r="B27" t="s">
        <v>32</v>
      </c>
      <c r="C27" s="4" t="s">
        <v>10</v>
      </c>
      <c r="D27" s="1" t="s">
        <v>11</v>
      </c>
      <c r="E27" t="s">
        <v>12</v>
      </c>
      <c r="F27" t="s">
        <v>13</v>
      </c>
      <c r="G27" t="s">
        <v>14</v>
      </c>
      <c r="H27" t="s">
        <v>15</v>
      </c>
      <c r="I27" s="4" t="s">
        <v>19</v>
      </c>
      <c r="J27" t="s">
        <v>36</v>
      </c>
      <c r="K27" t="s">
        <v>52</v>
      </c>
      <c r="L27" s="4">
        <v>3</v>
      </c>
      <c r="M27" s="4">
        <v>5</v>
      </c>
      <c r="N27" s="4">
        <v>10</v>
      </c>
      <c r="O27" s="4">
        <v>25</v>
      </c>
      <c r="P27" s="4">
        <v>50</v>
      </c>
      <c r="Q27" s="4">
        <v>100</v>
      </c>
      <c r="R27">
        <v>3</v>
      </c>
      <c r="S27">
        <v>5</v>
      </c>
      <c r="T27">
        <v>10</v>
      </c>
      <c r="U27">
        <v>25</v>
      </c>
      <c r="V27">
        <v>50</v>
      </c>
      <c r="W27">
        <v>100</v>
      </c>
    </row>
    <row r="28" spans="1:23" x14ac:dyDescent="0.25">
      <c r="A28" s="2" t="s">
        <v>44</v>
      </c>
      <c r="B28">
        <f>C28*0.01</f>
        <v>1.107</v>
      </c>
      <c r="C28" s="4">
        <f>C25</f>
        <v>110.7</v>
      </c>
      <c r="D28" s="4">
        <f t="shared" ref="D28:G28" si="15">D25</f>
        <v>2554.9699999999998</v>
      </c>
      <c r="E28" s="4">
        <f t="shared" si="15"/>
        <v>2549.23</v>
      </c>
      <c r="F28" s="4">
        <f t="shared" si="15"/>
        <v>5.7399999999997817</v>
      </c>
      <c r="G28" s="4">
        <f t="shared" si="15"/>
        <v>2756</v>
      </c>
      <c r="H28">
        <f>F28/G28</f>
        <v>2.0827285921624751E-3</v>
      </c>
      <c r="I28" s="5">
        <v>0.83</v>
      </c>
      <c r="J28">
        <f>(0.108*(B28*(G28/1000))^(1/3))/(H28)^0.5</f>
        <v>3.4322825099918952</v>
      </c>
      <c r="K28">
        <f>J28*60</f>
        <v>205.93695059951372</v>
      </c>
      <c r="L28" s="4">
        <f>$E$3*(K28+$E$4)^$E$5</f>
        <v>8.3028767649568902</v>
      </c>
      <c r="M28" s="5">
        <f>$F$3*(K28+$F$4)^$F$5</f>
        <v>9.5424688949691792</v>
      </c>
      <c r="N28" s="5">
        <f>$G$3*(K28+$G$4)^$G$5</f>
        <v>11.120360750866421</v>
      </c>
      <c r="O28" s="5">
        <f>$H$3*(K28+$H$4)^$H$5</f>
        <v>13.120069804021995</v>
      </c>
      <c r="P28" s="4">
        <f>$I$3*(K28+$I$4)^$I$5</f>
        <v>14.67895661195743</v>
      </c>
      <c r="Q28" s="4">
        <f>$J$3*(K28+$J$4)^$J$5</f>
        <v>16.027672375255943</v>
      </c>
      <c r="R28">
        <f t="shared" ref="R28:W28" si="16">$I$9*L28*$C$9*10/3.6</f>
        <v>2119.1017223361223</v>
      </c>
      <c r="S28">
        <f t="shared" si="16"/>
        <v>2435.4766237185086</v>
      </c>
      <c r="T28">
        <f t="shared" si="16"/>
        <v>2838.1940726398821</v>
      </c>
      <c r="U28">
        <f t="shared" si="16"/>
        <v>3348.5698157315132</v>
      </c>
      <c r="V28">
        <f t="shared" si="16"/>
        <v>3746.4367012868352</v>
      </c>
      <c r="W28">
        <f t="shared" si="16"/>
        <v>4090.662681974698</v>
      </c>
    </row>
    <row r="30" spans="1:23" ht="15.75" thickBot="1" x14ac:dyDescent="0.3">
      <c r="B30" t="s">
        <v>32</v>
      </c>
      <c r="C30" s="4" t="s">
        <v>10</v>
      </c>
      <c r="D30" s="1" t="s">
        <v>11</v>
      </c>
      <c r="E30" t="s">
        <v>12</v>
      </c>
      <c r="F30" t="s">
        <v>13</v>
      </c>
      <c r="G30" t="s">
        <v>14</v>
      </c>
      <c r="H30" t="s">
        <v>15</v>
      </c>
      <c r="I30" s="4" t="s">
        <v>19</v>
      </c>
      <c r="J30" t="s">
        <v>37</v>
      </c>
      <c r="K30" t="s">
        <v>53</v>
      </c>
      <c r="L30" s="4">
        <v>3</v>
      </c>
      <c r="M30" s="4">
        <v>5</v>
      </c>
      <c r="N30" s="4">
        <v>10</v>
      </c>
      <c r="O30" s="4">
        <v>25</v>
      </c>
      <c r="P30" s="4">
        <v>50</v>
      </c>
      <c r="Q30" s="4">
        <v>100</v>
      </c>
      <c r="R30">
        <v>3</v>
      </c>
      <c r="S30">
        <v>5</v>
      </c>
      <c r="T30">
        <v>10</v>
      </c>
      <c r="U30">
        <v>25</v>
      </c>
      <c r="V30">
        <v>50</v>
      </c>
      <c r="W30">
        <v>100</v>
      </c>
    </row>
    <row r="31" spans="1:23" x14ac:dyDescent="0.25">
      <c r="A31" s="2" t="s">
        <v>44</v>
      </c>
      <c r="B31">
        <f>C31*0.01</f>
        <v>1.107</v>
      </c>
      <c r="C31" s="4">
        <f>C28</f>
        <v>110.7</v>
      </c>
      <c r="D31" s="4">
        <f t="shared" ref="D31:G31" si="17">D28</f>
        <v>2554.9699999999998</v>
      </c>
      <c r="E31" s="4">
        <f t="shared" si="17"/>
        <v>2549.23</v>
      </c>
      <c r="F31" s="4">
        <f t="shared" si="17"/>
        <v>5.7399999999997817</v>
      </c>
      <c r="G31" s="4">
        <f t="shared" si="17"/>
        <v>2756</v>
      </c>
      <c r="H31">
        <f>F31/G31</f>
        <v>2.0827285921624751E-3</v>
      </c>
      <c r="I31" s="5">
        <v>0.83</v>
      </c>
      <c r="J31">
        <f>0.066*((G31/1000)/(H31^0.5))^0.77</f>
        <v>1.5519772410237576</v>
      </c>
      <c r="K31">
        <f>J31*60</f>
        <v>93.118634461425458</v>
      </c>
      <c r="L31" s="4">
        <f>$E$3*(K31+$E$4)^$E$5</f>
        <v>16.758718991153778</v>
      </c>
      <c r="M31" s="5">
        <f>$F$3*(K31+$F$4)^$F$5</f>
        <v>19.41667563729812</v>
      </c>
      <c r="N31" s="5">
        <f>$G$3*(K31+$G$4)^$G$5</f>
        <v>22.765024186035827</v>
      </c>
      <c r="O31" s="5">
        <f>$H$3*(K31+$H$4)^$H$5</f>
        <v>27.124065450618396</v>
      </c>
      <c r="P31" s="4">
        <f>$I$3*(K31+$I$4)^$I$5</f>
        <v>30.356533692865433</v>
      </c>
      <c r="Q31" s="4">
        <f>$J$3*(K31+$J$4)^$J$5</f>
        <v>33.422591706603313</v>
      </c>
      <c r="R31">
        <f t="shared" ref="R31:W31" si="18">$I$9*L31*$C$9*10/3.6</f>
        <v>4277.244054517223</v>
      </c>
      <c r="S31">
        <f t="shared" si="18"/>
        <v>4955.621039529412</v>
      </c>
      <c r="T31">
        <f t="shared" si="18"/>
        <v>5810.2032978809921</v>
      </c>
      <c r="U31">
        <f t="shared" si="18"/>
        <v>6922.73960463408</v>
      </c>
      <c r="V31">
        <f t="shared" si="18"/>
        <v>7747.7463117615807</v>
      </c>
      <c r="W31">
        <f t="shared" si="18"/>
        <v>8530.2809683178293</v>
      </c>
    </row>
    <row r="33" spans="1:23" ht="15.75" thickBot="1" x14ac:dyDescent="0.3">
      <c r="B33" t="s">
        <v>32</v>
      </c>
      <c r="C33" s="4" t="s">
        <v>10</v>
      </c>
      <c r="D33" s="1" t="s">
        <v>11</v>
      </c>
      <c r="E33" t="s">
        <v>12</v>
      </c>
      <c r="F33" t="s">
        <v>13</v>
      </c>
      <c r="G33" t="s">
        <v>14</v>
      </c>
      <c r="H33" t="s">
        <v>15</v>
      </c>
      <c r="I33" s="4" t="s">
        <v>19</v>
      </c>
      <c r="J33" s="6" t="s">
        <v>38</v>
      </c>
      <c r="K33" t="s">
        <v>54</v>
      </c>
      <c r="L33" s="4">
        <v>3</v>
      </c>
      <c r="M33" s="4">
        <v>5</v>
      </c>
      <c r="N33" s="4">
        <v>10</v>
      </c>
      <c r="O33" s="4">
        <v>25</v>
      </c>
      <c r="P33" s="4">
        <v>50</v>
      </c>
      <c r="Q33" s="4">
        <v>100</v>
      </c>
      <c r="R33">
        <v>3</v>
      </c>
      <c r="S33">
        <v>5</v>
      </c>
      <c r="T33">
        <v>10</v>
      </c>
      <c r="U33">
        <v>25</v>
      </c>
      <c r="V33">
        <v>50</v>
      </c>
      <c r="W33">
        <v>100</v>
      </c>
    </row>
    <row r="34" spans="1:23" x14ac:dyDescent="0.25">
      <c r="A34" s="2" t="s">
        <v>44</v>
      </c>
      <c r="B34">
        <f>C34*0.01</f>
        <v>1.107</v>
      </c>
      <c r="C34" s="4">
        <f>C31</f>
        <v>110.7</v>
      </c>
      <c r="D34" s="4">
        <f t="shared" ref="D34:G34" si="19">D31</f>
        <v>2554.9699999999998</v>
      </c>
      <c r="E34" s="4">
        <f t="shared" si="19"/>
        <v>2549.23</v>
      </c>
      <c r="F34" s="4">
        <f t="shared" si="19"/>
        <v>5.7399999999997817</v>
      </c>
      <c r="G34" s="4">
        <f t="shared" si="19"/>
        <v>2756</v>
      </c>
      <c r="H34">
        <f>F34/G34</f>
        <v>2.0827285921624751E-3</v>
      </c>
      <c r="I34" s="5">
        <v>0.83</v>
      </c>
      <c r="J34">
        <f>((4*(B34^0.5))+(1.5*(G34/1000)))/(25.3*((G34/1000)*H34)^0.5)</f>
        <v>4.3523419778781802</v>
      </c>
      <c r="K34">
        <f>J34*60</f>
        <v>261.1405186726908</v>
      </c>
      <c r="L34" s="4">
        <f>$E$3*(K34+$E$4)^$E$5</f>
        <v>6.6469301830476706</v>
      </c>
      <c r="M34" s="5">
        <f>$F$3*(K34+$F$4)^$F$5</f>
        <v>7.6222620517840038</v>
      </c>
      <c r="N34" s="5">
        <f>$G$3*(K34+$G$4)^$G$5</f>
        <v>8.867536187747481</v>
      </c>
      <c r="O34" s="5">
        <f>$H$3*(K34+$H$4)^$H$5</f>
        <v>10.430261314114707</v>
      </c>
      <c r="P34" s="4">
        <f>$I$3*(K34+$I$4)^$I$5</f>
        <v>11.669024110594499</v>
      </c>
      <c r="Q34" s="4">
        <f>$J$3*(K34+$J$4)^$J$5</f>
        <v>12.704916561853789</v>
      </c>
      <c r="R34">
        <f t="shared" ref="R34:W34" si="20">$I$9*L34*$C$9*10/3.6</f>
        <v>1696.4627559683418</v>
      </c>
      <c r="S34">
        <f t="shared" si="20"/>
        <v>1945.3918321665722</v>
      </c>
      <c r="T34">
        <f t="shared" si="20"/>
        <v>2263.2169235178508</v>
      </c>
      <c r="U34">
        <f t="shared" si="20"/>
        <v>2662.0634438949264</v>
      </c>
      <c r="V34">
        <f t="shared" si="20"/>
        <v>2978.2266786264809</v>
      </c>
      <c r="W34">
        <f t="shared" si="20"/>
        <v>3242.6123294991335</v>
      </c>
    </row>
    <row r="36" spans="1:23" ht="15.75" thickBot="1" x14ac:dyDescent="0.3">
      <c r="C36" s="4" t="s">
        <v>10</v>
      </c>
      <c r="D36" s="1" t="s">
        <v>11</v>
      </c>
      <c r="E36" t="s">
        <v>12</v>
      </c>
      <c r="F36" t="s">
        <v>13</v>
      </c>
      <c r="G36" t="s">
        <v>14</v>
      </c>
      <c r="H36" t="s">
        <v>15</v>
      </c>
      <c r="I36" s="4" t="s">
        <v>19</v>
      </c>
      <c r="J36" t="s">
        <v>28</v>
      </c>
      <c r="K36" t="s">
        <v>28</v>
      </c>
      <c r="L36" s="4">
        <v>3</v>
      </c>
      <c r="M36" s="4">
        <v>5</v>
      </c>
      <c r="N36" s="4">
        <v>10</v>
      </c>
      <c r="O36" s="4">
        <v>25</v>
      </c>
      <c r="P36" s="4">
        <v>50</v>
      </c>
      <c r="Q36" s="4">
        <v>100</v>
      </c>
      <c r="R36">
        <v>3</v>
      </c>
      <c r="S36">
        <v>5</v>
      </c>
      <c r="T36">
        <v>10</v>
      </c>
      <c r="U36">
        <v>25</v>
      </c>
      <c r="V36">
        <v>50</v>
      </c>
      <c r="W36">
        <v>100</v>
      </c>
    </row>
    <row r="37" spans="1:23" x14ac:dyDescent="0.25">
      <c r="A37" s="2" t="s">
        <v>44</v>
      </c>
      <c r="C37" s="4">
        <f>C34</f>
        <v>110.7</v>
      </c>
      <c r="D37" s="4">
        <f t="shared" ref="D37:G37" si="21">D34</f>
        <v>2554.9699999999998</v>
      </c>
      <c r="E37" s="4">
        <f t="shared" si="21"/>
        <v>2549.23</v>
      </c>
      <c r="F37" s="4">
        <f t="shared" si="21"/>
        <v>5.7399999999997817</v>
      </c>
      <c r="G37" s="4">
        <f t="shared" si="21"/>
        <v>2756</v>
      </c>
      <c r="H37">
        <f>F37/G37</f>
        <v>2.0827285921624751E-3</v>
      </c>
      <c r="I37" s="5">
        <v>0.83</v>
      </c>
      <c r="K37">
        <f>1.44*((G37*0.02)/(H37^(1/2)))^(0.467)</f>
        <v>39.596168350376693</v>
      </c>
      <c r="L37" s="4">
        <f>$E$3*(K37+$E$4)^$E$5</f>
        <v>31.996616309808193</v>
      </c>
      <c r="M37" s="5">
        <f>$F$3*(K37+$F$4)^$F$5</f>
        <v>37.434713104188639</v>
      </c>
      <c r="N37" s="5">
        <f>$G$3*(K37+$G$4)^$G$5</f>
        <v>44.207094767071787</v>
      </c>
      <c r="O37" s="5">
        <f>$H$3*(K37+$H$4)^$H$5</f>
        <v>53.175214000693366</v>
      </c>
      <c r="P37" s="4">
        <f>$I$3*(K37+$I$4)^$I$5</f>
        <v>59.554034638126083</v>
      </c>
      <c r="Q37" s="4">
        <f>$J$3*(K37+$J$4)^$J$5</f>
        <v>65.968881518122913</v>
      </c>
      <c r="R37">
        <f t="shared" ref="R37:W37" si="22">$I$9*L37*$C$9*10/3.6</f>
        <v>8166.3363976707951</v>
      </c>
      <c r="S37">
        <f t="shared" si="22"/>
        <v>9554.2746520165438</v>
      </c>
      <c r="T37">
        <f t="shared" si="22"/>
        <v>11282.755761925897</v>
      </c>
      <c r="U37">
        <f t="shared" si="22"/>
        <v>13571.643993326963</v>
      </c>
      <c r="V37">
        <f t="shared" si="22"/>
        <v>15199.678490515729</v>
      </c>
      <c r="W37">
        <f t="shared" si="22"/>
        <v>16836.907785462921</v>
      </c>
    </row>
    <row r="42" spans="1:23" x14ac:dyDescent="0.25">
      <c r="D42" s="1"/>
      <c r="E42" s="1"/>
      <c r="F42" s="1"/>
      <c r="G42" s="1"/>
    </row>
    <row r="43" spans="1:23" x14ac:dyDescent="0.25">
      <c r="D43" s="1"/>
      <c r="E43" s="1"/>
      <c r="F43" s="1"/>
      <c r="G43" s="1"/>
      <c r="I43" s="1"/>
      <c r="J43" s="1"/>
      <c r="K43" s="1"/>
      <c r="L43" s="1"/>
      <c r="M43" s="1"/>
      <c r="N43" s="1"/>
    </row>
    <row r="44" spans="1:23" x14ac:dyDescent="0.25">
      <c r="D44" s="1"/>
      <c r="E44" s="1"/>
      <c r="F44" s="1"/>
      <c r="G44" s="1"/>
      <c r="I44" s="1"/>
      <c r="J44" s="1"/>
      <c r="K44" s="1"/>
      <c r="L44" s="1"/>
      <c r="M44" s="1"/>
      <c r="N44" s="1"/>
    </row>
    <row r="45" spans="1:23" x14ac:dyDescent="0.25">
      <c r="D45" s="1"/>
      <c r="E45" s="1"/>
      <c r="F45" s="1"/>
      <c r="G45" s="1"/>
      <c r="I45" s="1"/>
      <c r="J45" s="1"/>
      <c r="K45" s="1"/>
      <c r="L45" s="1"/>
      <c r="M45" s="1"/>
      <c r="N45" s="1"/>
    </row>
    <row r="46" spans="1:23" x14ac:dyDescent="0.25">
      <c r="D46" s="1"/>
      <c r="E46" s="1"/>
      <c r="F46" s="1"/>
      <c r="G46" s="1"/>
      <c r="I46" s="1"/>
      <c r="J46" s="1"/>
      <c r="K46" s="1"/>
      <c r="L46" s="1"/>
      <c r="M46" s="1"/>
      <c r="N46" s="1"/>
    </row>
    <row r="47" spans="1:23" x14ac:dyDescent="0.25">
      <c r="D47" s="1"/>
      <c r="E47" s="1"/>
      <c r="F47" s="1"/>
      <c r="G47" s="1"/>
    </row>
    <row r="48" spans="1:23" x14ac:dyDescent="0.25">
      <c r="D48" s="1"/>
      <c r="E48" s="1"/>
      <c r="F48" s="1"/>
      <c r="G48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0E60B-C6FF-43EF-A578-A3C60FE1026E}">
  <dimension ref="A1:O17"/>
  <sheetViews>
    <sheetView tabSelected="1" workbookViewId="0">
      <selection activeCell="C15" sqref="C15"/>
    </sheetView>
  </sheetViews>
  <sheetFormatPr baseColWidth="10" defaultRowHeight="15" x14ac:dyDescent="0.25"/>
  <cols>
    <col min="2" max="2" width="14.28515625" bestFit="1" customWidth="1"/>
  </cols>
  <sheetData>
    <row r="1" spans="1:15" x14ac:dyDescent="0.25">
      <c r="A1" t="s">
        <v>73</v>
      </c>
    </row>
    <row r="2" spans="1:15" x14ac:dyDescent="0.25">
      <c r="B2" s="7" t="s">
        <v>39</v>
      </c>
      <c r="C2" s="7" t="s">
        <v>16</v>
      </c>
      <c r="D2" s="7" t="s">
        <v>72</v>
      </c>
      <c r="E2" s="7" t="s">
        <v>29</v>
      </c>
      <c r="F2" s="7" t="s">
        <v>40</v>
      </c>
      <c r="G2" s="7" t="s">
        <v>35</v>
      </c>
      <c r="H2" s="7" t="s">
        <v>41</v>
      </c>
      <c r="I2" s="7" t="s">
        <v>42</v>
      </c>
      <c r="J2" s="7" t="s">
        <v>43</v>
      </c>
      <c r="K2" s="7" t="s">
        <v>38</v>
      </c>
      <c r="L2" s="7" t="s">
        <v>28</v>
      </c>
    </row>
    <row r="3" spans="1:15" x14ac:dyDescent="0.25">
      <c r="B3" s="7" t="str">
        <f>'HC TC HV'!A9</f>
        <v>Colector CL 36S</v>
      </c>
      <c r="C3" s="9">
        <f>'HC TC HV'!K9</f>
        <v>93.621592475914809</v>
      </c>
      <c r="D3" s="9">
        <f>'HC TC HV'!K13</f>
        <v>77.948322322324074</v>
      </c>
      <c r="E3" s="9">
        <f>'HC TC HV'!K16</f>
        <v>51.669979315250622</v>
      </c>
      <c r="F3" s="9">
        <f>'HC TC HV'!K19</f>
        <v>47.420013873566319</v>
      </c>
      <c r="G3" s="9">
        <f>'HC TC HV'!K22</f>
        <v>133.16834647501304</v>
      </c>
      <c r="H3" s="9">
        <f>'HC TC HV'!K25</f>
        <v>1.3093977414695088</v>
      </c>
      <c r="I3" s="9">
        <f>'HC TC HV'!K28</f>
        <v>205.93695059951372</v>
      </c>
      <c r="J3" s="9">
        <f>'HC TC HV'!K31</f>
        <v>93.118634461425458</v>
      </c>
      <c r="K3" s="9">
        <f>'HC TC HV'!K37</f>
        <v>39.596168350376693</v>
      </c>
      <c r="L3" s="9">
        <f>'HC TC HV'!K37</f>
        <v>39.596168350376693</v>
      </c>
      <c r="M3" s="8">
        <f>AVERAGE(C3:L3)</f>
        <v>78.3385573965231</v>
      </c>
    </row>
    <row r="6" spans="1:15" x14ac:dyDescent="0.25">
      <c r="A6" t="s">
        <v>74</v>
      </c>
    </row>
    <row r="7" spans="1:15" x14ac:dyDescent="0.25">
      <c r="B7" s="7" t="s">
        <v>39</v>
      </c>
      <c r="C7" s="7" t="s">
        <v>16</v>
      </c>
      <c r="D7" s="7" t="s">
        <v>72</v>
      </c>
      <c r="E7" s="7" t="s">
        <v>29</v>
      </c>
      <c r="F7" s="7" t="s">
        <v>40</v>
      </c>
      <c r="G7" s="7" t="s">
        <v>35</v>
      </c>
      <c r="H7" s="7" t="s">
        <v>41</v>
      </c>
      <c r="I7" s="7" t="s">
        <v>42</v>
      </c>
      <c r="J7" s="7" t="s">
        <v>43</v>
      </c>
      <c r="K7" s="7" t="s">
        <v>38</v>
      </c>
      <c r="L7" s="7" t="s">
        <v>28</v>
      </c>
    </row>
    <row r="8" spans="1:15" x14ac:dyDescent="0.25">
      <c r="B8" s="7" t="str">
        <f>'HC TC HV'!A9</f>
        <v>Colector CL 36S</v>
      </c>
      <c r="C8" s="9">
        <f>'HC TC HV'!W9</f>
        <v>8490.1935587992702</v>
      </c>
      <c r="D8" s="9">
        <f>'HC TC HV'!W13</f>
        <v>9939.2753590418415</v>
      </c>
      <c r="E8" s="9">
        <f>'HC TC HV'!W16</f>
        <v>13845.357650675744</v>
      </c>
      <c r="F8" s="9">
        <f>'HC TC HV'!W19</f>
        <v>14772.7518535935</v>
      </c>
      <c r="G8" s="9">
        <f>'HC TC HV'!W22</f>
        <v>6182.4858846945908</v>
      </c>
      <c r="H8" s="9">
        <f>'HC TC HV'!W25</f>
        <v>49954.073648648846</v>
      </c>
      <c r="I8" s="9">
        <f>'HC TC HV'!W28</f>
        <v>4090.662681974698</v>
      </c>
      <c r="J8" s="9">
        <f>'HC TC HV'!W31</f>
        <v>8530.2809683178293</v>
      </c>
      <c r="K8" s="9">
        <f>'HC TC HV'!W34</f>
        <v>3242.6123294991335</v>
      </c>
      <c r="L8" s="9">
        <f>'HC TC HV'!W37</f>
        <v>16836.907785462921</v>
      </c>
      <c r="M8" s="8">
        <f>AVERAGE(C8:L8)</f>
        <v>13588.46017207084</v>
      </c>
      <c r="N8" s="8">
        <f>AVERAGE(G8,I8,K8)</f>
        <v>4505.2536320561412</v>
      </c>
      <c r="O8" s="8">
        <f>AVERAGE(C8:E8)</f>
        <v>10758.275522838952</v>
      </c>
    </row>
    <row r="13" spans="1:15" x14ac:dyDescent="0.25">
      <c r="B13" t="s">
        <v>6</v>
      </c>
    </row>
    <row r="14" spans="1:15" x14ac:dyDescent="0.25">
      <c r="A14" t="s">
        <v>75</v>
      </c>
      <c r="B14">
        <v>2.5</v>
      </c>
      <c r="C14">
        <v>5</v>
      </c>
      <c r="D14">
        <v>10</v>
      </c>
      <c r="E14">
        <v>25</v>
      </c>
      <c r="F14">
        <v>50</v>
      </c>
      <c r="G14">
        <v>100</v>
      </c>
    </row>
    <row r="15" spans="1:15" x14ac:dyDescent="0.25">
      <c r="A15" t="s">
        <v>76</v>
      </c>
      <c r="B15">
        <v>4948.2694397090381</v>
      </c>
      <c r="C15">
        <v>5744.2460125473817</v>
      </c>
      <c r="D15">
        <v>6744.57833616475</v>
      </c>
      <c r="E15">
        <v>8052.8696346902216</v>
      </c>
      <c r="F15">
        <v>9013.5831674670972</v>
      </c>
      <c r="G15">
        <v>9939.2753590418415</v>
      </c>
    </row>
    <row r="17" spans="1:7" x14ac:dyDescent="0.25">
      <c r="A17" t="s">
        <v>77</v>
      </c>
      <c r="B17" s="10">
        <f>B15/1000</f>
        <v>4.9482694397090379</v>
      </c>
      <c r="C17" s="10">
        <f t="shared" ref="C17:G17" si="0">C15/1000</f>
        <v>5.7442460125473813</v>
      </c>
      <c r="D17" s="10">
        <f t="shared" si="0"/>
        <v>6.74457833616475</v>
      </c>
      <c r="E17" s="10">
        <f t="shared" si="0"/>
        <v>8.0528696346902215</v>
      </c>
      <c r="F17" s="10">
        <f t="shared" si="0"/>
        <v>9.0135831674670968</v>
      </c>
      <c r="G17" s="10">
        <f t="shared" si="0"/>
        <v>9.9392753590418419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C Vaca</vt:lpstr>
      <vt:lpstr>HC TC HV</vt:lpstr>
      <vt:lpstr>Resultados TC HV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Sandra Patiño</cp:lastModifiedBy>
  <dcterms:created xsi:type="dcterms:W3CDTF">2023-03-22T20:10:19Z</dcterms:created>
  <dcterms:modified xsi:type="dcterms:W3CDTF">2023-07-18T21:36:29Z</dcterms:modified>
</cp:coreProperties>
</file>